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/Desktop/"/>
    </mc:Choice>
  </mc:AlternateContent>
  <xr:revisionPtr revIDLastSave="0" documentId="13_ncr:1_{2563CAE3-16F8-9642-AE4C-92A0066BFC39}" xr6:coauthVersionLast="45" xr6:coauthVersionMax="45" xr10:uidLastSave="{00000000-0000-0000-0000-000000000000}"/>
  <bookViews>
    <workbookView xWindow="15440" yWindow="460" windowWidth="35760" windowHeight="28340" xr2:uid="{6D2C2DFB-FBD4-4540-AD7E-7536C9D2C9B3}"/>
  </bookViews>
  <sheets>
    <sheet name="Problema 8 curso" sheetId="3" r:id="rId1"/>
  </sheets>
  <definedNames>
    <definedName name="solver_adj" localSheetId="0" hidden="1">'Problema 8 curso'!$Q$61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'Problema 8 curso'!$O$61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56250000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3" l="1"/>
  <c r="G26" i="3"/>
  <c r="F26" i="3"/>
  <c r="E23" i="3"/>
  <c r="E24" i="3" s="1"/>
  <c r="F21" i="3" s="1"/>
  <c r="C19" i="3"/>
  <c r="C18" i="3"/>
  <c r="C16" i="3"/>
  <c r="C15" i="3"/>
  <c r="C14" i="3"/>
  <c r="C13" i="3"/>
  <c r="G23" i="3" l="1"/>
  <c r="G24" i="3" s="1"/>
  <c r="H23" i="3"/>
  <c r="H48" i="3"/>
  <c r="I48" i="3" s="1"/>
  <c r="O57" i="3"/>
  <c r="F23" i="3"/>
  <c r="O35" i="3" l="1"/>
  <c r="O30" i="3"/>
  <c r="O61" i="3" s="1"/>
  <c r="O29" i="3" l="1"/>
  <c r="O45" i="3" s="1"/>
  <c r="O38" i="3"/>
  <c r="C25" i="3" s="1"/>
  <c r="O37" i="3"/>
  <c r="O44" i="3" s="1"/>
  <c r="O36" i="3"/>
  <c r="O43" i="3" s="1"/>
  <c r="O50" i="3" l="1"/>
  <c r="O52" i="3" s="1"/>
  <c r="O54" i="3" s="1"/>
  <c r="O47" i="3"/>
  <c r="C6" i="3"/>
  <c r="F18" i="3" l="1"/>
  <c r="H18" i="3" s="1"/>
  <c r="I7" i="3"/>
  <c r="F6" i="3"/>
  <c r="H39" i="3" s="1"/>
  <c r="F7" i="3"/>
  <c r="H40" i="3" s="1"/>
  <c r="F15" i="3"/>
  <c r="H15" i="3" s="1"/>
  <c r="H46" i="3" s="1"/>
  <c r="I6" i="3"/>
  <c r="H42" i="3" l="1"/>
  <c r="H43" i="3"/>
  <c r="H45" i="3"/>
  <c r="H51" i="3" s="1"/>
  <c r="C58" i="3"/>
  <c r="E58" i="3" s="1"/>
</calcChain>
</file>

<file path=xl/sharedStrings.xml><?xml version="1.0" encoding="utf-8"?>
<sst xmlns="http://schemas.openxmlformats.org/spreadsheetml/2006/main" count="58" uniqueCount="51">
  <si>
    <t>k1</t>
  </si>
  <si>
    <t>epsilon c</t>
  </si>
  <si>
    <t>k1=</t>
  </si>
  <si>
    <t>k2=</t>
  </si>
  <si>
    <t>x=</t>
  </si>
  <si>
    <t>fcd=</t>
  </si>
  <si>
    <t>fyd=</t>
  </si>
  <si>
    <t>As1=</t>
  </si>
  <si>
    <t>As2=</t>
  </si>
  <si>
    <t>h=</t>
  </si>
  <si>
    <t>d=</t>
  </si>
  <si>
    <t>d'=</t>
  </si>
  <si>
    <t>Ef=</t>
  </si>
  <si>
    <t>tf=</t>
  </si>
  <si>
    <t>bFRP</t>
  </si>
  <si>
    <t>b=</t>
  </si>
  <si>
    <t>k1·fcd·b·x</t>
  </si>
  <si>
    <t>Es</t>
  </si>
  <si>
    <t>sigma1</t>
  </si>
  <si>
    <t>COND</t>
  </si>
  <si>
    <t>sigma 2</t>
  </si>
  <si>
    <t>As2·sigmas2=</t>
  </si>
  <si>
    <t>As1·sigmas1=</t>
  </si>
  <si>
    <t>epsilon 0</t>
  </si>
  <si>
    <t>epsilon f=</t>
  </si>
  <si>
    <t>Af·Ef·epsilonf=</t>
  </si>
  <si>
    <t>Mrd=</t>
  </si>
  <si>
    <t>Ec</t>
  </si>
  <si>
    <t>epsilon s1</t>
  </si>
  <si>
    <t>epsilon s2</t>
  </si>
  <si>
    <t>As1·Es·epsilon s1</t>
  </si>
  <si>
    <t>As2·Es·epsilon s2</t>
  </si>
  <si>
    <t>fib</t>
  </si>
  <si>
    <t>CNR</t>
  </si>
  <si>
    <t>kb=</t>
  </si>
  <si>
    <t>x (calculada)</t>
  </si>
  <si>
    <t>k2</t>
  </si>
  <si>
    <t>VIGA SIN REFORZAR (Estado inicial)</t>
  </si>
  <si>
    <t>Equilibrio</t>
  </si>
  <si>
    <t>Momento actuante</t>
  </si>
  <si>
    <t>*Con solver, igualar el la celda Q62 al momento actuante</t>
  </si>
  <si>
    <t>(Valor a introducir como deformación inicial en fibra inferior)</t>
  </si>
  <si>
    <t>PROPIEDADES MATERIALES</t>
  </si>
  <si>
    <t>FIBRA NEUTRA CON FRP</t>
  </si>
  <si>
    <t>VIGAS A FLEXIÓN CON FRP. Momento ELU</t>
  </si>
  <si>
    <t>kNm</t>
  </si>
  <si>
    <t>Momento resistido</t>
  </si>
  <si>
    <t>*Relación tensión-def lineal hasta plastificación</t>
  </si>
  <si>
    <t>*Deformación límite en el FRP, conforme a guía utilizada</t>
  </si>
  <si>
    <t>Def en cara comprimida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</si>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</sst>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165" fontId="0" fillId="0" borderId="0" xfId="0" applyNumberFormat="1"/>
    <xf numFmtId="164" fontId="0" fillId="0" borderId="1" xfId="0" applyNumberFormat="1" applyBorder="1" applyAlignment="1">
      <alignment horizontal="left" indent="1"/>
    </xf>
    <xf numFmtId="164" fontId="0" fillId="0" borderId="1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516467</xdr:colOff>
      <xdr:row>29</xdr:row>
      <xdr:rowOff>33199</xdr:rowOff>
    </xdr:from>
    <xdr:ext cx="5153972" cy="646193"/>
    <xdr:pic>
      <xdr:nvPicPr>
        <xdr:cNvPr id="3" name="Imagen 2">
          <a:extLst>
            <a:ext uri="{FF2B5EF4-FFF2-40B4-BE49-F238E27FC236}">
              <a16:creationId xmlns:a16="http://schemas.microsoft.com/office/drawing/2014/main" id="{C5BFA65C-B3D9-B447-99BE-F301ADA4C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9625" y="5848462"/>
          <a:ext cx="5153972" cy="646193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0</xdr:col>
      <xdr:colOff>284079</xdr:colOff>
      <xdr:row>33</xdr:row>
      <xdr:rowOff>79320</xdr:rowOff>
    </xdr:from>
    <xdr:ext cx="7736974" cy="617470"/>
    <xdr:pic>
      <xdr:nvPicPr>
        <xdr:cNvPr id="4" name="Imagen 3">
          <a:extLst>
            <a:ext uri="{FF2B5EF4-FFF2-40B4-BE49-F238E27FC236}">
              <a16:creationId xmlns:a16="http://schemas.microsoft.com/office/drawing/2014/main" id="{2B5F85D0-33B9-A04F-B3C5-A97AB107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2851" y="6696688"/>
          <a:ext cx="7736974" cy="61747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0</xdr:col>
      <xdr:colOff>690702</xdr:colOff>
      <xdr:row>37</xdr:row>
      <xdr:rowOff>198745</xdr:rowOff>
    </xdr:from>
    <xdr:ext cx="3217457" cy="3043178"/>
    <xdr:pic>
      <xdr:nvPicPr>
        <xdr:cNvPr id="5" name="Imagen 4">
          <a:extLst>
            <a:ext uri="{FF2B5EF4-FFF2-40B4-BE49-F238E27FC236}">
              <a16:creationId xmlns:a16="http://schemas.microsoft.com/office/drawing/2014/main" id="{C8E60BC9-C6D4-5B4E-AB39-06AC358D5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9474" y="7618219"/>
          <a:ext cx="3217457" cy="304317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9A21-E52D-5C49-95F1-8136586F94DE}">
  <dimension ref="A1:R77"/>
  <sheetViews>
    <sheetView tabSelected="1" zoomScale="114" zoomScaleNormal="114" workbookViewId="0">
      <selection activeCell="N13" sqref="N13"/>
    </sheetView>
  </sheetViews>
  <sheetFormatPr baseColWidth="10" defaultRowHeight="16" x14ac:dyDescent="0.2"/>
  <cols>
    <col min="2" max="2" width="12.1640625" bestFit="1" customWidth="1"/>
    <col min="3" max="3" width="12.33203125" customWidth="1"/>
    <col min="5" max="5" width="11.1640625" bestFit="1" customWidth="1"/>
    <col min="7" max="7" width="11.5" bestFit="1" customWidth="1"/>
    <col min="8" max="8" width="12.1640625" bestFit="1" customWidth="1"/>
    <col min="14" max="14" width="18.5" customWidth="1"/>
    <col min="15" max="15" width="12.664062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 x14ac:dyDescent="0.2">
      <c r="A3" s="2"/>
      <c r="B3" s="11" t="s">
        <v>44</v>
      </c>
      <c r="C3" s="11"/>
      <c r="D3" s="11"/>
      <c r="E3" s="11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</row>
    <row r="5" spans="1:18" x14ac:dyDescent="0.2">
      <c r="A5" s="2"/>
      <c r="B5" s="7" t="s">
        <v>49</v>
      </c>
      <c r="C5" s="7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</row>
    <row r="6" spans="1:18" x14ac:dyDescent="0.2">
      <c r="A6" s="2"/>
      <c r="B6" s="1" t="s">
        <v>1</v>
      </c>
      <c r="C6" s="1">
        <f>(F21+C25)*C10/(C17-C10)</f>
        <v>1.7038001266556728E-3</v>
      </c>
      <c r="D6" s="2"/>
      <c r="E6" s="1" t="s">
        <v>2</v>
      </c>
      <c r="F6" s="1">
        <f>1000*C6*(0.5-1000*C6/12)</f>
        <v>0.60998882402851251</v>
      </c>
      <c r="G6" s="2"/>
      <c r="H6" s="1" t="s">
        <v>3</v>
      </c>
      <c r="I6" s="1">
        <f>(8-1000*C6)/(4*(6-1000*C6))</f>
        <v>0.3663819223361181</v>
      </c>
      <c r="J6" s="2"/>
      <c r="K6" s="2"/>
      <c r="L6" s="2"/>
      <c r="N6" s="2"/>
      <c r="O6" s="2"/>
      <c r="P6" s="2"/>
      <c r="Q6" s="2"/>
      <c r="R6" s="2"/>
    </row>
    <row r="7" spans="1:18" x14ac:dyDescent="0.2">
      <c r="A7" s="2"/>
      <c r="B7" s="2"/>
      <c r="C7" s="2"/>
      <c r="D7" s="2"/>
      <c r="E7" s="2"/>
      <c r="F7" s="1">
        <f>1-(2/(3000*C6))</f>
        <v>0.6087177972129616</v>
      </c>
      <c r="G7" s="2"/>
      <c r="H7" s="2"/>
      <c r="I7" s="1">
        <f>(1000*C6*(3000*C6-4)+2)/(2000*C6*(3000*C6-2))</f>
        <v>0.36723769191549011</v>
      </c>
      <c r="J7" s="2"/>
      <c r="K7" s="2"/>
      <c r="L7" s="2"/>
      <c r="N7" s="2"/>
      <c r="O7" s="2"/>
      <c r="P7" s="2"/>
      <c r="Q7" s="2"/>
      <c r="R7" s="2"/>
    </row>
    <row r="8" spans="1: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</row>
    <row r="9" spans="1:18" x14ac:dyDescent="0.2">
      <c r="A9" s="2"/>
      <c r="B9" s="7" t="s">
        <v>43</v>
      </c>
      <c r="C9" s="7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2"/>
      <c r="Q9" s="2"/>
      <c r="R9" s="2"/>
    </row>
    <row r="10" spans="1:18" x14ac:dyDescent="0.2">
      <c r="A10" s="2"/>
      <c r="B10" s="1" t="s">
        <v>4</v>
      </c>
      <c r="C10" s="1">
        <v>146.22414123934996</v>
      </c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</row>
    <row r="11" spans="1:1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"/>
      <c r="R11" s="2"/>
    </row>
    <row r="12" spans="1:18" x14ac:dyDescent="0.2">
      <c r="A12" s="2"/>
      <c r="B12" s="7" t="s">
        <v>42</v>
      </c>
      <c r="C12" s="7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  <c r="P12" s="2"/>
      <c r="Q12" s="2"/>
      <c r="R12" s="2"/>
    </row>
    <row r="13" spans="1:18" x14ac:dyDescent="0.2">
      <c r="A13" s="2"/>
      <c r="B13" s="1" t="s">
        <v>5</v>
      </c>
      <c r="C13" s="1">
        <f>25/1.5</f>
        <v>16.666666666666668</v>
      </c>
      <c r="D13" s="2"/>
      <c r="E13" s="2"/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R13" s="2"/>
    </row>
    <row r="14" spans="1:18" x14ac:dyDescent="0.2">
      <c r="A14" s="2"/>
      <c r="B14" s="1" t="s">
        <v>6</v>
      </c>
      <c r="C14" s="1">
        <f>500/1.15</f>
        <v>434.78260869565219</v>
      </c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  <c r="P14" s="2"/>
      <c r="Q14" s="2"/>
      <c r="R14" s="2"/>
    </row>
    <row r="15" spans="1:18" x14ac:dyDescent="0.2">
      <c r="A15" s="2"/>
      <c r="B15" s="1" t="s">
        <v>7</v>
      </c>
      <c r="C15" s="1">
        <f>PI()*8*8*4</f>
        <v>804.24771931898704</v>
      </c>
      <c r="D15" s="2"/>
      <c r="E15" s="1" t="s">
        <v>18</v>
      </c>
      <c r="F15" s="1">
        <f>C6*C24*(C18-C10)/C10</f>
        <v>474.87826705366462</v>
      </c>
      <c r="G15" s="1" t="s">
        <v>19</v>
      </c>
      <c r="H15" s="1">
        <f>IF(F15&lt;C14,F15,C14)</f>
        <v>434.78260869565219</v>
      </c>
      <c r="I15" s="2" t="s">
        <v>47</v>
      </c>
      <c r="J15" s="2"/>
      <c r="K15" s="2"/>
      <c r="L15" s="2"/>
      <c r="N15" s="2"/>
      <c r="O15" s="2"/>
      <c r="P15" s="2"/>
      <c r="Q15" s="2"/>
      <c r="R15" s="2"/>
    </row>
    <row r="16" spans="1:18" x14ac:dyDescent="0.2">
      <c r="A16" s="2"/>
      <c r="B16" s="1" t="s">
        <v>8</v>
      </c>
      <c r="C16" s="1">
        <f>2*6*6*PI()</f>
        <v>226.1946710584651</v>
      </c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  <c r="P16" s="2"/>
      <c r="Q16" s="2"/>
      <c r="R16" s="2"/>
    </row>
    <row r="17" spans="1:18" x14ac:dyDescent="0.2">
      <c r="A17" s="2"/>
      <c r="B17" s="1" t="s">
        <v>9</v>
      </c>
      <c r="C17" s="1">
        <v>400</v>
      </c>
      <c r="D17" s="2"/>
      <c r="E17" s="2"/>
      <c r="F17" s="2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</row>
    <row r="18" spans="1:18" x14ac:dyDescent="0.2">
      <c r="A18" s="2"/>
      <c r="B18" s="1" t="s">
        <v>10</v>
      </c>
      <c r="C18" s="1">
        <f>C17-50</f>
        <v>350</v>
      </c>
      <c r="D18" s="2"/>
      <c r="E18" s="1" t="s">
        <v>20</v>
      </c>
      <c r="F18" s="1">
        <f>C6*C24*(C10-C19)/C10</f>
        <v>224.24026927616322</v>
      </c>
      <c r="G18" s="1" t="s">
        <v>19</v>
      </c>
      <c r="H18" s="1">
        <f>IF(F18&lt;C14,F18,C14)</f>
        <v>224.24026927616322</v>
      </c>
      <c r="I18" s="2" t="s">
        <v>47</v>
      </c>
      <c r="J18" s="2"/>
      <c r="K18" s="2"/>
      <c r="L18" s="2"/>
      <c r="N18" s="2"/>
      <c r="O18" s="2"/>
      <c r="P18" s="2"/>
      <c r="Q18" s="2"/>
      <c r="R18" s="2"/>
    </row>
    <row r="19" spans="1:18" x14ac:dyDescent="0.2">
      <c r="A19" s="2"/>
      <c r="B19" s="1" t="s">
        <v>11</v>
      </c>
      <c r="C19" s="1">
        <f>50</f>
        <v>50</v>
      </c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A20" s="2"/>
      <c r="B20" s="1" t="s">
        <v>15</v>
      </c>
      <c r="C20" s="1">
        <v>250</v>
      </c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A21" s="2"/>
      <c r="B21" s="1" t="s">
        <v>12</v>
      </c>
      <c r="C21" s="1">
        <v>170000</v>
      </c>
      <c r="D21" s="2"/>
      <c r="E21" s="1" t="s">
        <v>24</v>
      </c>
      <c r="F21" s="1">
        <f>E24</f>
        <v>1.5487537483991121E-3</v>
      </c>
      <c r="G21" s="2" t="s">
        <v>48</v>
      </c>
      <c r="H21" s="2"/>
      <c r="I21" s="2"/>
      <c r="J21" s="2"/>
      <c r="K21" s="2"/>
      <c r="L21" s="2"/>
    </row>
    <row r="22" spans="1:18" x14ac:dyDescent="0.2">
      <c r="A22" s="2"/>
      <c r="B22" s="1" t="s">
        <v>13</v>
      </c>
      <c r="C22" s="1">
        <v>1.4</v>
      </c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A23" s="2"/>
      <c r="B23" s="1" t="s">
        <v>14</v>
      </c>
      <c r="C23" s="1">
        <v>200</v>
      </c>
      <c r="D23" s="2"/>
      <c r="E23" s="1">
        <f>(0.17*1.8/1.5)*F26*1*(SQRT(2*C21*((25+8)^(2/3))/C22))</f>
        <v>263.28813722784906</v>
      </c>
      <c r="F23" s="1">
        <f>E23/1.8</f>
        <v>146.27118734880503</v>
      </c>
      <c r="G23" s="1">
        <f>(1.25/1.5)*SQRT(G26*C21*2*F26*0.1/(C22))</f>
        <v>355.9345775714504</v>
      </c>
      <c r="H23" s="1">
        <f>(1/1.5)*SQRT(2*C21*F26*0.037*G26/(1.4))</f>
        <v>173.20524093513143</v>
      </c>
      <c r="I23" s="2"/>
      <c r="J23" s="2"/>
      <c r="K23" s="2"/>
      <c r="L23" s="2"/>
    </row>
    <row r="24" spans="1:18" x14ac:dyDescent="0.2">
      <c r="A24" s="2"/>
      <c r="B24" s="1" t="s">
        <v>17</v>
      </c>
      <c r="C24" s="1">
        <v>200000</v>
      </c>
      <c r="D24" s="2"/>
      <c r="E24" s="1">
        <f>E23/C21</f>
        <v>1.5487537483991121E-3</v>
      </c>
      <c r="F24" s="2"/>
      <c r="G24" s="1">
        <f>G23/C21</f>
        <v>2.0937328092438261E-3</v>
      </c>
      <c r="H24" s="2"/>
      <c r="I24" s="2"/>
      <c r="J24" s="2"/>
      <c r="K24" s="2"/>
      <c r="L24" s="2"/>
    </row>
    <row r="25" spans="1:18" x14ac:dyDescent="0.2">
      <c r="A25" s="2"/>
      <c r="B25" s="1" t="s">
        <v>23</v>
      </c>
      <c r="C25" s="1">
        <f>O38</f>
        <v>1.4082363671440675E-3</v>
      </c>
      <c r="D25" s="2"/>
      <c r="E25" s="13" t="s">
        <v>32</v>
      </c>
      <c r="F25" s="12"/>
      <c r="G25" s="13" t="s">
        <v>33</v>
      </c>
      <c r="H25" s="2"/>
      <c r="I25" s="2"/>
      <c r="J25" s="2"/>
      <c r="K25" s="2"/>
      <c r="L25" s="2"/>
    </row>
    <row r="26" spans="1:18" x14ac:dyDescent="0.2">
      <c r="A26" s="2"/>
      <c r="B26" s="1" t="s">
        <v>27</v>
      </c>
      <c r="C26" s="1">
        <v>27000</v>
      </c>
      <c r="D26" s="2"/>
      <c r="E26" s="1" t="s">
        <v>34</v>
      </c>
      <c r="F26" s="1">
        <f>SQRT((2-C23/C20)/(1+C23/C20))</f>
        <v>0.81649658092772603</v>
      </c>
      <c r="G26" s="1">
        <f>SQRT((25+8)*(0.3*(25^(2/3))))</f>
        <v>9.2002070281323807</v>
      </c>
      <c r="H26" s="2"/>
      <c r="I26" s="2"/>
      <c r="J26" s="2"/>
      <c r="K26" s="2"/>
      <c r="L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7" t="s">
        <v>37</v>
      </c>
      <c r="O28" s="7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1" t="s">
        <v>0</v>
      </c>
      <c r="O29" s="1">
        <f>1000*O35*(0.5-1000*O35/12)</f>
        <v>0.3032195115624331</v>
      </c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1" t="s">
        <v>36</v>
      </c>
      <c r="O30" s="1">
        <f>(8-1000*O57)/(4*(6-1000*O57))</f>
        <v>0.3440651946618809</v>
      </c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1" t="s">
        <v>4</v>
      </c>
      <c r="O33" s="1">
        <f>Q61</f>
        <v>130.83833212564682</v>
      </c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1"/>
      <c r="O34" s="1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1" t="s">
        <v>1</v>
      </c>
      <c r="O35" s="5">
        <f>O57</f>
        <v>6.8453765712961703E-4</v>
      </c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s="1" t="s">
        <v>28</v>
      </c>
      <c r="O36" s="1">
        <f>O35*(C18-O33)/O33</f>
        <v>1.146639614109857E-3</v>
      </c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1" t="s">
        <v>29</v>
      </c>
      <c r="O37" s="1">
        <f>O35*(O33-C19)/O33</f>
        <v>4.2294090409540646E-4</v>
      </c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1" t="s">
        <v>23</v>
      </c>
      <c r="O38" s="1">
        <f>O35*(C17-O33)/O33</f>
        <v>1.4082363671440675E-3</v>
      </c>
      <c r="Q38" s="2" t="s">
        <v>41</v>
      </c>
      <c r="R38" s="2"/>
    </row>
    <row r="39" spans="1:18" x14ac:dyDescent="0.2">
      <c r="A39" s="2"/>
      <c r="B39" s="2"/>
      <c r="C39" s="2"/>
      <c r="D39" s="2"/>
      <c r="E39" s="2"/>
      <c r="F39" s="2"/>
      <c r="G39" s="1" t="s">
        <v>16</v>
      </c>
      <c r="H39" s="1">
        <f>F6*C13*C20*C10</f>
        <v>371646.2164965425</v>
      </c>
      <c r="I39" s="2"/>
      <c r="J39" s="2"/>
      <c r="K39" s="2"/>
      <c r="L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1">
        <f>C10*C13*C20*F7</f>
        <v>370871.82147739205</v>
      </c>
      <c r="I40" s="2"/>
      <c r="J40" s="2"/>
      <c r="K40" s="2"/>
      <c r="L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1" t="s">
        <v>21</v>
      </c>
      <c r="H42" s="1">
        <f>C16*H18</f>
        <v>50721.953946983376</v>
      </c>
      <c r="I42" s="2"/>
      <c r="J42" s="2"/>
      <c r="K42" s="2"/>
      <c r="L42" s="2"/>
      <c r="N42" s="7" t="s">
        <v>38</v>
      </c>
      <c r="O42" s="7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1">
        <f>C16*H18</f>
        <v>50721.953946983376</v>
      </c>
      <c r="I43" s="2"/>
      <c r="J43" s="2"/>
      <c r="K43" s="2"/>
      <c r="L43" s="2"/>
      <c r="N43" t="s">
        <v>30</v>
      </c>
      <c r="O43">
        <f>C15*C24*O36</f>
        <v>184436.45890573115</v>
      </c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t="s">
        <v>31</v>
      </c>
      <c r="O44">
        <f>C24*C16*O37</f>
        <v>19133.395735806058</v>
      </c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1" t="s">
        <v>22</v>
      </c>
      <c r="H45" s="1">
        <f>C15*H15</f>
        <v>349672.92144303786</v>
      </c>
      <c r="I45" s="2"/>
      <c r="J45" s="2"/>
      <c r="K45" s="2"/>
      <c r="L45" s="2"/>
      <c r="N45" t="s">
        <v>16</v>
      </c>
      <c r="O45">
        <f>C20*O33*C13*O29</f>
        <v>165303.06316992512</v>
      </c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1">
        <f>C15*H15</f>
        <v>349672.92144303786</v>
      </c>
      <c r="I46" s="2"/>
      <c r="J46" s="2"/>
      <c r="K46" s="2"/>
      <c r="L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6"/>
      <c r="O47" s="6">
        <f>O43-O44-O45</f>
        <v>0</v>
      </c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1" t="s">
        <v>25</v>
      </c>
      <c r="H48" s="1">
        <f>C22*C23*F21*C21</f>
        <v>73720.678423797741</v>
      </c>
      <c r="I48" s="1">
        <f>H48/(C23*C22)</f>
        <v>263.28813722784906</v>
      </c>
      <c r="J48" s="2"/>
      <c r="K48" s="2"/>
      <c r="L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O50">
        <f>O43-O44</f>
        <v>165303.0631699251</v>
      </c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>
        <f>H39+H42-H45-H48</f>
        <v>-1025.4294233097171</v>
      </c>
      <c r="I51" s="2"/>
      <c r="J51" s="2"/>
      <c r="K51" s="2"/>
      <c r="L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>
        <f>O50/(C20*C13)</f>
        <v>39.672735160782018</v>
      </c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>
        <f>O52/O33</f>
        <v>0.30321951156243304</v>
      </c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3"/>
      <c r="Q56" s="2"/>
      <c r="R56" s="2"/>
    </row>
    <row r="57" spans="1:18" x14ac:dyDescent="0.2">
      <c r="A57" s="2"/>
      <c r="B57" s="2"/>
      <c r="C57" s="2"/>
      <c r="D57" s="2"/>
      <c r="E57" s="7" t="s">
        <v>46</v>
      </c>
      <c r="F57" s="7"/>
      <c r="G57" s="2"/>
      <c r="H57" s="2"/>
      <c r="I57" s="2"/>
      <c r="J57" s="2"/>
      <c r="K57" s="2"/>
      <c r="L57" s="2"/>
      <c r="N57" t="s">
        <v>1</v>
      </c>
      <c r="O57" s="4">
        <f>0.006+12*((C15*C24*(1-C18/Q61))+(C16*C24*(1-C19/Q61)))/(1000*1000*C13*C20*Q61)</f>
        <v>6.8453765712961703E-4</v>
      </c>
      <c r="Q57" s="2"/>
      <c r="R57" s="2"/>
    </row>
    <row r="58" spans="1:18" x14ac:dyDescent="0.2">
      <c r="A58" s="2"/>
      <c r="B58" s="1" t="s">
        <v>26</v>
      </c>
      <c r="C58" s="1">
        <f>C15*H15*(C18-I6*C10)+C22*C23*C21*F21*(C17-I6*C10)+C16*H18*(I6*C10-C19)</f>
        <v>129372229.40917438</v>
      </c>
      <c r="D58" s="2"/>
      <c r="E58" s="1">
        <f>C58/1000000</f>
        <v>129.37222940917439</v>
      </c>
      <c r="F58" s="1" t="s">
        <v>45</v>
      </c>
      <c r="G58" s="2"/>
      <c r="H58" s="2"/>
      <c r="I58" s="2"/>
      <c r="J58" s="2"/>
      <c r="K58" s="2"/>
      <c r="L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2"/>
      <c r="R59" s="2"/>
    </row>
    <row r="60" spans="1:18" ht="17" thickBo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2" t="s">
        <v>35</v>
      </c>
      <c r="R60" s="2"/>
    </row>
    <row r="61" spans="1:18" ht="17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8" t="s">
        <v>39</v>
      </c>
      <c r="O61" s="9">
        <f>C15*O57*C24*(C18/Q61-1)*(C18-O30*Q61)</f>
        <v>56250000.00000006</v>
      </c>
      <c r="Q61" s="1">
        <v>130.83833212564682</v>
      </c>
      <c r="R61" s="2" t="s">
        <v>50</v>
      </c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0" t="s">
        <v>40</v>
      </c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N68" s="2"/>
      <c r="O68" s="2"/>
      <c r="P68" s="2"/>
    </row>
    <row r="69" spans="1:1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N69" s="2"/>
      <c r="O69" s="2"/>
      <c r="P69" s="2"/>
    </row>
    <row r="70" spans="1:1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N70" s="2"/>
      <c r="O70" s="2"/>
      <c r="P70" s="2"/>
    </row>
    <row r="71" spans="1:1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N71" s="2"/>
      <c r="O71" s="2"/>
      <c r="P71" s="2"/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7">
    <mergeCell ref="E57:F57"/>
    <mergeCell ref="B5:C5"/>
    <mergeCell ref="N28:O28"/>
    <mergeCell ref="N42:O42"/>
    <mergeCell ref="B12:C12"/>
    <mergeCell ref="B9:C9"/>
    <mergeCell ref="B3:E3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Problema 8 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2020-06-14T17:14:56Z</dcterms:created>
  <dcterms:modified xsi:type="dcterms:W3CDTF">2020-10-26T17:01:53Z</dcterms:modified>
</cp:coreProperties>
</file>